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5580" windowHeight="4500" tabRatio="772" activeTab="0"/>
  </bookViews>
  <sheets>
    <sheet name="Valori CONTRACT 2019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<sst xmlns="http://schemas.openxmlformats.org/spreadsheetml/2006/main" count="46" uniqueCount="28">
  <si>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LUNA</t>
  </si>
  <si>
    <t>FURNIZORUL</t>
  </si>
  <si>
    <t>TOTAL</t>
  </si>
  <si>
    <t>CONTRACTAT</t>
  </si>
  <si>
    <t>SC BIODENT SRL 1 primar urban,1dentist rural</t>
  </si>
  <si>
    <t>CROITORU VICTORIA - specialist urban</t>
  </si>
  <si>
    <t>DANAILA LIDIA - dentist rural</t>
  </si>
  <si>
    <t>DINESCU IOAN - primar urban</t>
  </si>
  <si>
    <t>FILIP MARIA - primar urban</t>
  </si>
  <si>
    <t>CIUDIN SILVIU-MIHAI - dentist rural</t>
  </si>
  <si>
    <t>CARASTOIAN MARIANA THALIDA - dentiist rural</t>
  </si>
  <si>
    <t>NEGOITA VIORICA - dentist rural</t>
  </si>
  <si>
    <t>POPOVSCHI ARISTIDE - primar urban</t>
  </si>
  <si>
    <t>PUIU RALUCA - dentist rural</t>
  </si>
  <si>
    <t>RASPOP KETTY SILVIA - dentist rural</t>
  </si>
  <si>
    <t>VASILE CRISTIAN - dentist rural</t>
  </si>
  <si>
    <t>CENTRUL MEDICAL SF.DUMITRU SRL - dentist urban</t>
  </si>
  <si>
    <t xml:space="preserve"> POPESCU M. RALUCA-ADRIANA - dentist rural</t>
  </si>
  <si>
    <t xml:space="preserve"> DR. DOBRE CATALIN - dentist rural</t>
  </si>
  <si>
    <t>TRIM.I 2019</t>
  </si>
  <si>
    <t>TRIM.II 2019</t>
  </si>
  <si>
    <t>TRIM.III 2019</t>
  </si>
  <si>
    <t>NOV2019</t>
  </si>
  <si>
    <t>TOTAL TRIM IV 2019</t>
  </si>
  <si>
    <t>TOTAL AN  2019</t>
  </si>
  <si>
    <t>ORAL PROSMILE SRL - Aramitu Raluca - specialist rural</t>
  </si>
  <si>
    <t>SITUATIE MEDICINA DENTARA SUME CONTRACTATE  PENTRU AN 2019</t>
  </si>
  <si>
    <t>SPLENDENT - Dr.Petcu Georgiana - dentist rural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</si>
</sst>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[$-418]mmm\-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8]d\ mmmm\ yyyy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0.0000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4" fontId="2" fillId="0" borderId="0" xfId="0" applyNumberFormat="1" applyFont="1" applyAlignment="1">
      <alignment/>
    </xf>
    <xf numFmtId="4" fontId="0" fillId="0" borderId="10" xfId="0" applyNumberFormat="1" applyBorder="1" applyAlignment="1">
      <alignment horizontal="center"/>
    </xf>
    <xf numFmtId="17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4" fontId="2" fillId="0" borderId="0" xfId="0" applyNumberFormat="1" applyFont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4" fontId="6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A1">
      <selection activeCell="T10" sqref="T10"/>
    </sheetView>
  </sheetViews>
  <sheetFormatPr defaultColWidth="9.140625" defaultRowHeight="12.75"/>
  <cols>
    <col min="1" max="1" width="14.28125" style="0" customWidth="1"/>
    <col min="2" max="2" width="14.00390625" style="0" customWidth="1"/>
    <col min="3" max="3" width="11.00390625" style="0" customWidth="1"/>
    <col min="4" max="6" width="10.140625" style="0" bestFit="1" customWidth="1"/>
    <col min="8" max="8" width="14.00390625" style="0" customWidth="1"/>
    <col min="9" max="9" width="10.00390625" style="0" customWidth="1"/>
    <col min="10" max="10" width="12.8515625" style="0" customWidth="1"/>
    <col min="13" max="13" width="11.57421875" style="0" customWidth="1"/>
    <col min="14" max="14" width="14.00390625" style="0" customWidth="1"/>
    <col min="15" max="15" width="13.140625" style="0" customWidth="1"/>
    <col min="16" max="17" width="12.57421875" style="0" customWidth="1"/>
    <col min="18" max="18" width="12.421875" style="0" customWidth="1"/>
    <col min="19" max="19" width="10.00390625" style="0" customWidth="1"/>
    <col min="20" max="20" width="9.28125" style="0" bestFit="1" customWidth="1"/>
  </cols>
  <sheetData>
    <row r="1" ht="12.75">
      <c r="A1" s="12">
        <v>43798</v>
      </c>
    </row>
    <row r="3" ht="12.75">
      <c r="A3" s="16" t="s">
        <v>26</v>
      </c>
    </row>
    <row r="4" spans="1:5" ht="12.75">
      <c r="A4" s="16"/>
      <c r="E4" s="12"/>
    </row>
    <row r="6" spans="1:19" ht="12.75">
      <c r="A6" s="22" t="s">
        <v>0</v>
      </c>
      <c r="B6" s="23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4"/>
      <c r="N6" s="24"/>
      <c r="O6" s="24"/>
      <c r="P6" s="24"/>
      <c r="Q6" s="24"/>
      <c r="R6" s="24"/>
      <c r="S6" s="11" t="s">
        <v>2</v>
      </c>
    </row>
    <row r="7" spans="1:19" ht="92.25" customHeight="1">
      <c r="A7" s="22"/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11" t="s">
        <v>15</v>
      </c>
      <c r="N7" s="11" t="s">
        <v>17</v>
      </c>
      <c r="O7" s="11" t="s">
        <v>18</v>
      </c>
      <c r="P7" s="11" t="s">
        <v>25</v>
      </c>
      <c r="Q7" s="11" t="s">
        <v>16</v>
      </c>
      <c r="R7" s="11" t="s">
        <v>27</v>
      </c>
      <c r="S7" s="11" t="s">
        <v>2</v>
      </c>
    </row>
    <row r="8" spans="1:19" ht="25.5">
      <c r="A8" s="25"/>
      <c r="B8" s="2" t="s">
        <v>3</v>
      </c>
      <c r="C8" s="2" t="s">
        <v>3</v>
      </c>
      <c r="D8" s="2" t="s">
        <v>3</v>
      </c>
      <c r="E8" s="2" t="s">
        <v>3</v>
      </c>
      <c r="F8" s="2" t="s">
        <v>3</v>
      </c>
      <c r="G8" s="2" t="s">
        <v>3</v>
      </c>
      <c r="H8" s="2" t="s">
        <v>3</v>
      </c>
      <c r="I8" s="2" t="s">
        <v>3</v>
      </c>
      <c r="J8" s="2" t="s">
        <v>3</v>
      </c>
      <c r="K8" s="2" t="s">
        <v>3</v>
      </c>
      <c r="L8" s="2" t="s">
        <v>3</v>
      </c>
      <c r="M8" s="2" t="s">
        <v>3</v>
      </c>
      <c r="N8" s="2" t="s">
        <v>3</v>
      </c>
      <c r="O8" s="2" t="s">
        <v>3</v>
      </c>
      <c r="P8" s="2" t="s">
        <v>3</v>
      </c>
      <c r="Q8" s="2" t="s">
        <v>3</v>
      </c>
      <c r="R8" s="2" t="s">
        <v>3</v>
      </c>
      <c r="S8" s="2" t="s">
        <v>3</v>
      </c>
    </row>
    <row r="9" spans="1:19" ht="12.75">
      <c r="A9" s="5">
        <v>43466</v>
      </c>
      <c r="B9" s="14">
        <f>6806-89</f>
        <v>6717</v>
      </c>
      <c r="C9" s="13">
        <f>2836-8</f>
        <v>2828</v>
      </c>
      <c r="D9" s="3">
        <f>3403-2</f>
        <v>3401</v>
      </c>
      <c r="E9" s="3">
        <f>3403-90</f>
        <v>3313</v>
      </c>
      <c r="F9" s="3">
        <f>3403-10</f>
        <v>3393</v>
      </c>
      <c r="G9" s="3">
        <f>3403-21.4</f>
        <v>3381.6</v>
      </c>
      <c r="H9" s="3">
        <f>3403-10</f>
        <v>3393</v>
      </c>
      <c r="I9" s="3">
        <f>3403-57</f>
        <v>3346</v>
      </c>
      <c r="J9" s="3">
        <f>3403-16</f>
        <v>3387</v>
      </c>
      <c r="K9" s="3">
        <f>3403-37</f>
        <v>3366</v>
      </c>
      <c r="L9" s="3">
        <f>3403-19</f>
        <v>3384</v>
      </c>
      <c r="M9" s="3">
        <f>3403-23</f>
        <v>3380</v>
      </c>
      <c r="N9" s="21">
        <f>3403-3</f>
        <v>3400</v>
      </c>
      <c r="O9" s="3">
        <f>3403-23.8</f>
        <v>3379.2</v>
      </c>
      <c r="P9" s="9">
        <f>4254-225.2</f>
        <v>4028.8</v>
      </c>
      <c r="Q9" s="9">
        <f>2268-2041.8</f>
        <v>226.20000000000005</v>
      </c>
      <c r="R9" s="9">
        <v>0</v>
      </c>
      <c r="S9" s="19">
        <f>B9+C9+D9+E9+F9+G9+H9+I9+J9+K9+L9+M9+N9+O9+P9+R9</f>
        <v>54097.6</v>
      </c>
    </row>
    <row r="10" spans="1:19" ht="12.75">
      <c r="A10" s="5">
        <v>43497</v>
      </c>
      <c r="B10" s="3">
        <f>6806-142</f>
        <v>6664</v>
      </c>
      <c r="C10" s="13">
        <f>2836+18.2</f>
        <v>2854.2</v>
      </c>
      <c r="D10" s="18">
        <f>3403+23</f>
        <v>3426</v>
      </c>
      <c r="E10" s="3">
        <f>3403-47</f>
        <v>3356</v>
      </c>
      <c r="F10" s="3">
        <f>3403-14</f>
        <v>3389</v>
      </c>
      <c r="G10" s="3">
        <f>3403-60.4</f>
        <v>3342.6</v>
      </c>
      <c r="H10" s="3">
        <f>3403-7</f>
        <v>3396</v>
      </c>
      <c r="I10" s="3">
        <f>3403+146</f>
        <v>3549</v>
      </c>
      <c r="J10" s="18">
        <f>3403+32</f>
        <v>3435</v>
      </c>
      <c r="K10" s="3">
        <f>3403+113.8</f>
        <v>3516.8</v>
      </c>
      <c r="L10" s="18">
        <f>3403-8.6</f>
        <v>3394.4</v>
      </c>
      <c r="M10" s="18">
        <f>3403+28</f>
        <v>3431</v>
      </c>
      <c r="N10" s="21">
        <f>3403-13</f>
        <v>3390</v>
      </c>
      <c r="O10" s="3">
        <f>3403-110.6</f>
        <v>3292.4</v>
      </c>
      <c r="P10" s="9">
        <f>4254-47</f>
        <v>4207</v>
      </c>
      <c r="Q10" s="9">
        <f>2268-1759</f>
        <v>509</v>
      </c>
      <c r="R10" s="9">
        <v>0</v>
      </c>
      <c r="S10" s="19">
        <f aca="true" t="shared" si="0" ref="S9:S25">B10+C10+D10+E10+F10+G10+H10+I10+J10+K10+L10+M10+N10+O10+P10+R10</f>
        <v>54643.40000000001</v>
      </c>
    </row>
    <row r="11" spans="1:19" ht="12.75">
      <c r="A11" s="5">
        <v>43525</v>
      </c>
      <c r="B11" s="3">
        <f>6806+231-18</f>
        <v>7019</v>
      </c>
      <c r="C11" s="13">
        <f>2836-10.2</f>
        <v>2825.8</v>
      </c>
      <c r="D11" s="3">
        <f>3403-21-6</f>
        <v>3376</v>
      </c>
      <c r="E11" s="3">
        <f>3403+137-147</f>
        <v>3393</v>
      </c>
      <c r="F11" s="3">
        <f>3403+24-13.2</f>
        <v>3413.8</v>
      </c>
      <c r="G11" s="3">
        <f>3403+81.8-65.2</f>
        <v>3419.6000000000004</v>
      </c>
      <c r="H11" s="3">
        <f>3403+17-19</f>
        <v>3401</v>
      </c>
      <c r="I11" s="3">
        <f>3403-89-13</f>
        <v>3301</v>
      </c>
      <c r="J11" s="3">
        <f>3403-16-9</f>
        <v>3378</v>
      </c>
      <c r="K11" s="3">
        <f>3403-76.8-0.6</f>
        <v>3325.6</v>
      </c>
      <c r="L11" s="3">
        <f>3403+27.6-1.8</f>
        <v>3428.7999999999997</v>
      </c>
      <c r="M11" s="3">
        <f>3403-5-3</f>
        <v>3395</v>
      </c>
      <c r="N11" s="21">
        <f>3403+16-15</f>
        <v>3404</v>
      </c>
      <c r="O11" s="3">
        <f>3403+134.4-3.4</f>
        <v>3534</v>
      </c>
      <c r="P11" s="9">
        <f>4254+272.2-1040.2</f>
        <v>3486</v>
      </c>
      <c r="Q11" s="9">
        <f>2268+3800.8-5838.8</f>
        <v>230</v>
      </c>
      <c r="R11" s="9">
        <v>0</v>
      </c>
      <c r="S11" s="19">
        <f t="shared" si="0"/>
        <v>54100.6</v>
      </c>
    </row>
    <row r="12" spans="1:20" ht="12.75">
      <c r="A12" s="6" t="s">
        <v>19</v>
      </c>
      <c r="B12" s="15">
        <f aca="true" t="shared" si="1" ref="B12:R12">SUM(B9:B11)</f>
        <v>20400</v>
      </c>
      <c r="C12" s="15">
        <f t="shared" si="1"/>
        <v>8508</v>
      </c>
      <c r="D12" s="15">
        <f t="shared" si="1"/>
        <v>10203</v>
      </c>
      <c r="E12" s="15">
        <f t="shared" si="1"/>
        <v>10062</v>
      </c>
      <c r="F12" s="15">
        <f t="shared" si="1"/>
        <v>10195.8</v>
      </c>
      <c r="G12" s="15">
        <f t="shared" si="1"/>
        <v>10143.8</v>
      </c>
      <c r="H12" s="15">
        <f t="shared" si="1"/>
        <v>10190</v>
      </c>
      <c r="I12" s="15">
        <f t="shared" si="1"/>
        <v>10196</v>
      </c>
      <c r="J12" s="15">
        <f t="shared" si="1"/>
        <v>10200</v>
      </c>
      <c r="K12" s="15">
        <f t="shared" si="1"/>
        <v>10208.4</v>
      </c>
      <c r="L12" s="15">
        <f t="shared" si="1"/>
        <v>10207.199999999999</v>
      </c>
      <c r="M12" s="15">
        <f t="shared" si="1"/>
        <v>10206</v>
      </c>
      <c r="N12" s="15">
        <f t="shared" si="1"/>
        <v>10194</v>
      </c>
      <c r="O12" s="15">
        <f t="shared" si="1"/>
        <v>10205.6</v>
      </c>
      <c r="P12" s="15">
        <f t="shared" si="1"/>
        <v>11721.8</v>
      </c>
      <c r="Q12" s="15">
        <f t="shared" si="1"/>
        <v>965.2</v>
      </c>
      <c r="R12" s="19">
        <f t="shared" si="1"/>
        <v>0</v>
      </c>
      <c r="S12" s="19">
        <f>B12+C12+D12+E12+F12+G12+H12+I12+J12+K12+L12+M12+N12+O12+P12+Q12+R12</f>
        <v>163806.80000000002</v>
      </c>
      <c r="T12" s="1"/>
    </row>
    <row r="13" spans="1:20" ht="12.75">
      <c r="A13" s="5">
        <v>43556</v>
      </c>
      <c r="B13" s="14">
        <f>5970-3</f>
        <v>5967</v>
      </c>
      <c r="C13" s="3">
        <f>2487-45</f>
        <v>2442</v>
      </c>
      <c r="D13" s="14">
        <f>2985+10</f>
        <v>2995</v>
      </c>
      <c r="E13" s="14">
        <f>2985+31</f>
        <v>3016</v>
      </c>
      <c r="F13" s="14">
        <f>2985-2.8</f>
        <v>2982.2</v>
      </c>
      <c r="G13" s="14">
        <f>2985-215.4</f>
        <v>2769.6</v>
      </c>
      <c r="H13" s="14">
        <f>2985-4</f>
        <v>2981</v>
      </c>
      <c r="I13" s="14">
        <f>2985+34</f>
        <v>3019</v>
      </c>
      <c r="J13" s="14">
        <f>2985-30</f>
        <v>2955</v>
      </c>
      <c r="K13" s="14">
        <f>2985+277.8</f>
        <v>3262.8</v>
      </c>
      <c r="L13" s="14">
        <f>2985-148</f>
        <v>2837</v>
      </c>
      <c r="M13" s="14">
        <f>2985+4</f>
        <v>2989</v>
      </c>
      <c r="N13" s="13">
        <f>2985-45</f>
        <v>2940</v>
      </c>
      <c r="O13" s="14">
        <f>2985-1599.2</f>
        <v>1385.8</v>
      </c>
      <c r="P13" s="9">
        <f>3731-621.8</f>
        <v>3109.2</v>
      </c>
      <c r="Q13" s="9">
        <f>1990-1990</f>
        <v>0</v>
      </c>
      <c r="R13" s="9">
        <v>0</v>
      </c>
      <c r="S13" s="19">
        <f t="shared" si="0"/>
        <v>45650.6</v>
      </c>
      <c r="T13" s="1"/>
    </row>
    <row r="14" spans="1:20" ht="12.75">
      <c r="A14" s="5">
        <v>43586</v>
      </c>
      <c r="B14" s="14">
        <f>5970+1120+3-334</f>
        <v>6759</v>
      </c>
      <c r="C14" s="3">
        <f>2487+467+45-541.2</f>
        <v>2457.8</v>
      </c>
      <c r="D14" s="14">
        <f>2985+560-10-99</f>
        <v>3436</v>
      </c>
      <c r="E14" s="14">
        <f>2985-31+30</f>
        <v>2984</v>
      </c>
      <c r="F14" s="20">
        <f>2985+560+2.8-2.4</f>
        <v>3545.4</v>
      </c>
      <c r="G14" s="20">
        <f>2985+215.4-634.8</f>
        <v>2565.6000000000004</v>
      </c>
      <c r="H14" s="20">
        <f>2985+560+4-196</f>
        <v>3353</v>
      </c>
      <c r="I14" s="20">
        <f>2985+560-34+23</f>
        <v>3534</v>
      </c>
      <c r="J14" s="14">
        <f>2985+560+30-152</f>
        <v>3423</v>
      </c>
      <c r="K14" s="14">
        <f>2985+560-277.8-320.6</f>
        <v>2946.6</v>
      </c>
      <c r="L14" s="14">
        <f>2985+560+148-160.2</f>
        <v>3532.8</v>
      </c>
      <c r="M14" s="14">
        <f>2985+560-4-374</f>
        <v>3167</v>
      </c>
      <c r="N14" s="13">
        <f>2985+560+45-662</f>
        <v>2928</v>
      </c>
      <c r="O14" s="14">
        <f>2985+560+1599.2-1701.4</f>
        <v>3442.7999999999997</v>
      </c>
      <c r="P14" s="9">
        <f>3731+621.8-668.6</f>
        <v>3684.2000000000003</v>
      </c>
      <c r="Q14" s="9">
        <f>1990+1990-3470</f>
        <v>510</v>
      </c>
      <c r="R14" s="9">
        <v>0</v>
      </c>
      <c r="S14" s="19">
        <f t="shared" si="0"/>
        <v>51759.200000000004</v>
      </c>
      <c r="T14" s="1"/>
    </row>
    <row r="15" spans="1:20" ht="12.75">
      <c r="A15" s="5">
        <v>43617</v>
      </c>
      <c r="B15" s="14">
        <f>5970+334-256</f>
        <v>6048</v>
      </c>
      <c r="C15" s="3">
        <f>2487+541.2-1092.2</f>
        <v>1935.9999999999998</v>
      </c>
      <c r="D15" s="14">
        <f>2985+99-8</f>
        <v>3076</v>
      </c>
      <c r="E15" s="14">
        <f>2985-30</f>
        <v>2955</v>
      </c>
      <c r="F15" s="14">
        <f>2985+2.4-3</f>
        <v>2984.4</v>
      </c>
      <c r="G15" s="14">
        <f>2985+634.8-1690.2</f>
        <v>1929.6000000000001</v>
      </c>
      <c r="H15" s="14">
        <f>2985+196-1</f>
        <v>3180</v>
      </c>
      <c r="I15" s="14">
        <f>2985-23-56</f>
        <v>2906</v>
      </c>
      <c r="J15" s="14">
        <f>2985+152-220</f>
        <v>2917</v>
      </c>
      <c r="K15" s="14">
        <f>2985+320.6-920</f>
        <v>2385.6</v>
      </c>
      <c r="L15" s="14">
        <f>2985+160.2-7.2</f>
        <v>3138</v>
      </c>
      <c r="M15" s="14">
        <f>2985+374-3</f>
        <v>3356</v>
      </c>
      <c r="N15" s="13">
        <f>2985+662-33</f>
        <v>3614</v>
      </c>
      <c r="O15" s="14">
        <f>2985+1701.4-113.4</f>
        <v>4573</v>
      </c>
      <c r="P15" s="9">
        <f>3731+668.6-42.4</f>
        <v>4357.200000000001</v>
      </c>
      <c r="Q15" s="9">
        <f>1990+3470-4360.2</f>
        <v>1099.8000000000002</v>
      </c>
      <c r="R15" s="9">
        <v>0</v>
      </c>
      <c r="S15" s="19">
        <f t="shared" si="0"/>
        <v>49355.8</v>
      </c>
      <c r="T15" s="1"/>
    </row>
    <row r="16" spans="1:20" ht="12.75">
      <c r="A16" s="6" t="s">
        <v>20</v>
      </c>
      <c r="B16" s="15">
        <f aca="true" t="shared" si="2" ref="B16:R16">SUM(B13:B15)</f>
        <v>18774</v>
      </c>
      <c r="C16" s="15">
        <f t="shared" si="2"/>
        <v>6835.8</v>
      </c>
      <c r="D16" s="15">
        <f t="shared" si="2"/>
        <v>9507</v>
      </c>
      <c r="E16" s="15">
        <f t="shared" si="2"/>
        <v>8955</v>
      </c>
      <c r="F16" s="15">
        <f t="shared" si="2"/>
        <v>9512</v>
      </c>
      <c r="G16" s="15">
        <f t="shared" si="2"/>
        <v>7264.800000000001</v>
      </c>
      <c r="H16" s="15">
        <f t="shared" si="2"/>
        <v>9514</v>
      </c>
      <c r="I16" s="15">
        <f t="shared" si="2"/>
        <v>9459</v>
      </c>
      <c r="J16" s="15">
        <f t="shared" si="2"/>
        <v>9295</v>
      </c>
      <c r="K16" s="15">
        <f t="shared" si="2"/>
        <v>8595</v>
      </c>
      <c r="L16" s="15">
        <f t="shared" si="2"/>
        <v>9507.8</v>
      </c>
      <c r="M16" s="15">
        <f t="shared" si="2"/>
        <v>9512</v>
      </c>
      <c r="N16" s="15">
        <f t="shared" si="2"/>
        <v>9482</v>
      </c>
      <c r="O16" s="15">
        <f t="shared" si="2"/>
        <v>9401.599999999999</v>
      </c>
      <c r="P16" s="15">
        <f t="shared" si="2"/>
        <v>11150.6</v>
      </c>
      <c r="Q16" s="15">
        <f t="shared" si="2"/>
        <v>1609.8000000000002</v>
      </c>
      <c r="R16" s="19">
        <f t="shared" si="2"/>
        <v>0</v>
      </c>
      <c r="S16" s="19">
        <f>B16+C16+D16+E16+F16+G16+H16+I16+J16+K16+L16+M16+N16+O16+P16+Q16+R16</f>
        <v>148375.4</v>
      </c>
      <c r="T16" s="1"/>
    </row>
    <row r="17" spans="1:20" ht="12.75">
      <c r="A17" s="5">
        <v>43647</v>
      </c>
      <c r="B17" s="14">
        <f>6350-17</f>
        <v>6333</v>
      </c>
      <c r="C17" s="3">
        <f>2645-1076.2</f>
        <v>1568.8</v>
      </c>
      <c r="D17" s="9">
        <f>3175+1467-1474</f>
        <v>3168</v>
      </c>
      <c r="E17" s="9">
        <f>3175+1467-1849</f>
        <v>2793</v>
      </c>
      <c r="F17" s="9">
        <f>3175+1467-1474.8</f>
        <v>3167.2</v>
      </c>
      <c r="G17" s="9">
        <f>3175-35.2</f>
        <v>3139.8</v>
      </c>
      <c r="H17" s="9">
        <f>3175+1467-1471</f>
        <v>3171</v>
      </c>
      <c r="I17" s="9">
        <f>3175-85</f>
        <v>3090</v>
      </c>
      <c r="J17" s="9">
        <f>3175-133</f>
        <v>3042</v>
      </c>
      <c r="K17" s="9">
        <f>3175-425.6</f>
        <v>2749.4</v>
      </c>
      <c r="L17" s="9">
        <f>3175+1467-1490.4</f>
        <v>3151.6</v>
      </c>
      <c r="M17" s="9">
        <f>3175+1467-1594</f>
        <v>3048</v>
      </c>
      <c r="N17" s="9">
        <v>0</v>
      </c>
      <c r="O17" s="9">
        <f>3175-23.6</f>
        <v>3151.4</v>
      </c>
      <c r="P17" s="9">
        <f>3965-309.8</f>
        <v>3655.2</v>
      </c>
      <c r="Q17" s="9">
        <f>2115-1807</f>
        <v>308</v>
      </c>
      <c r="R17" s="9">
        <v>0</v>
      </c>
      <c r="S17" s="19">
        <f t="shared" si="0"/>
        <v>45228.4</v>
      </c>
      <c r="T17" s="1"/>
    </row>
    <row r="18" spans="1:20" ht="12.75">
      <c r="A18" s="5">
        <v>43678</v>
      </c>
      <c r="B18" s="9">
        <f>4644+17-204</f>
        <v>4457</v>
      </c>
      <c r="C18" s="9">
        <f>1940+1076.2-0.6</f>
        <v>3015.6</v>
      </c>
      <c r="D18" s="9">
        <f>2322+1474-122</f>
        <v>3674</v>
      </c>
      <c r="E18" s="9">
        <f>2322+1849-354</f>
        <v>3817</v>
      </c>
      <c r="F18" s="9">
        <f>2322+1474.8-19</f>
        <v>3777.8</v>
      </c>
      <c r="G18" s="9">
        <f>2322+35.2-2.4</f>
        <v>2354.7999999999997</v>
      </c>
      <c r="H18" s="9">
        <f>2322+1471-22</f>
        <v>3771</v>
      </c>
      <c r="I18" s="9">
        <f>2322+85+533</f>
        <v>2940</v>
      </c>
      <c r="J18" s="9">
        <f>2322+133-4</f>
        <v>2451</v>
      </c>
      <c r="K18" s="9">
        <f>2322+425.6+265.6</f>
        <v>3013.2</v>
      </c>
      <c r="L18" s="9">
        <f>2322+1490.4-152.4</f>
        <v>3660</v>
      </c>
      <c r="M18" s="9">
        <f>2322+1594-121</f>
        <v>3795</v>
      </c>
      <c r="N18" s="9">
        <v>0</v>
      </c>
      <c r="O18" s="9">
        <f>2322+23.6-12</f>
        <v>2333.6</v>
      </c>
      <c r="P18" s="9">
        <f>2905+309.8-150</f>
        <v>3064.8</v>
      </c>
      <c r="Q18" s="9">
        <f>1550+1807-3277.2</f>
        <v>79.80000000000018</v>
      </c>
      <c r="R18" s="9">
        <f>2322-198</f>
        <v>2124</v>
      </c>
      <c r="S18" s="19">
        <f t="shared" si="0"/>
        <v>48248.8</v>
      </c>
      <c r="T18" s="1"/>
    </row>
    <row r="19" spans="1:20" ht="12.75">
      <c r="A19" s="5">
        <v>43709</v>
      </c>
      <c r="B19" s="9">
        <f>4646+204-219</f>
        <v>4631</v>
      </c>
      <c r="C19" s="9">
        <f>1937+0.6-11.4</f>
        <v>1926.1999999999998</v>
      </c>
      <c r="D19" s="9">
        <f>2323+122-13</f>
        <v>2432</v>
      </c>
      <c r="E19" s="9">
        <f>2323+354-73</f>
        <v>2604</v>
      </c>
      <c r="F19" s="9">
        <f>2323+19-71.2</f>
        <v>2270.8</v>
      </c>
      <c r="G19" s="9">
        <f>2323+2.4-103.6</f>
        <v>2221.8</v>
      </c>
      <c r="H19" s="9">
        <f>2323+22-110</f>
        <v>2235</v>
      </c>
      <c r="I19" s="9">
        <f>2323-533-86</f>
        <v>1704</v>
      </c>
      <c r="J19" s="9">
        <f>2323+4-19</f>
        <v>2308</v>
      </c>
      <c r="K19" s="9">
        <f>2323-265.6-376.2</f>
        <v>1681.2</v>
      </c>
      <c r="L19" s="9">
        <f>2323+152.4-2.8</f>
        <v>2472.6</v>
      </c>
      <c r="M19" s="9">
        <f>2323+121-13</f>
        <v>2431</v>
      </c>
      <c r="N19" s="9">
        <v>0</v>
      </c>
      <c r="O19" s="9">
        <f>2323+12-55.6</f>
        <v>2279.4</v>
      </c>
      <c r="P19" s="9">
        <f>2905+150-72.8</f>
        <v>2982.2</v>
      </c>
      <c r="Q19" s="9">
        <f>1548.8+3277.2-3449</f>
        <v>1377</v>
      </c>
      <c r="R19" s="9">
        <f>2323+198-283</f>
        <v>2238</v>
      </c>
      <c r="S19" s="19">
        <f t="shared" si="0"/>
        <v>36417.2</v>
      </c>
      <c r="T19" s="1"/>
    </row>
    <row r="20" spans="1:20" ht="12.75">
      <c r="A20" s="6" t="s">
        <v>21</v>
      </c>
      <c r="B20" s="15">
        <f aca="true" t="shared" si="3" ref="B20:R20">B17+B18+B19</f>
        <v>15421</v>
      </c>
      <c r="C20" s="15">
        <f t="shared" si="3"/>
        <v>6510.599999999999</v>
      </c>
      <c r="D20" s="15">
        <f t="shared" si="3"/>
        <v>9274</v>
      </c>
      <c r="E20" s="15">
        <f t="shared" si="3"/>
        <v>9214</v>
      </c>
      <c r="F20" s="15">
        <f t="shared" si="3"/>
        <v>9215.8</v>
      </c>
      <c r="G20" s="15">
        <f t="shared" si="3"/>
        <v>7716.400000000001</v>
      </c>
      <c r="H20" s="15">
        <f t="shared" si="3"/>
        <v>9177</v>
      </c>
      <c r="I20" s="15">
        <f t="shared" si="3"/>
        <v>7734</v>
      </c>
      <c r="J20" s="15">
        <f t="shared" si="3"/>
        <v>7801</v>
      </c>
      <c r="K20" s="15">
        <f t="shared" si="3"/>
        <v>7443.8</v>
      </c>
      <c r="L20" s="15">
        <f t="shared" si="3"/>
        <v>9284.2</v>
      </c>
      <c r="M20" s="15">
        <f t="shared" si="3"/>
        <v>9274</v>
      </c>
      <c r="N20" s="15">
        <f t="shared" si="3"/>
        <v>0</v>
      </c>
      <c r="O20" s="15">
        <f t="shared" si="3"/>
        <v>7764.4</v>
      </c>
      <c r="P20" s="15">
        <f t="shared" si="3"/>
        <v>9702.2</v>
      </c>
      <c r="Q20" s="15">
        <f t="shared" si="3"/>
        <v>1764.8000000000002</v>
      </c>
      <c r="R20" s="15">
        <f t="shared" si="3"/>
        <v>4362</v>
      </c>
      <c r="S20" s="19">
        <f>B20+C20+D20+E20+F20+G20+H20+I20+J20+K20+L20+M20+N20+O20+P20+Q20+R20</f>
        <v>131659.19999999998</v>
      </c>
      <c r="T20" s="17"/>
    </row>
    <row r="21" spans="1:20" ht="12.75">
      <c r="A21" s="5">
        <v>43739</v>
      </c>
      <c r="B21" s="14">
        <f>6122-101</f>
        <v>6021</v>
      </c>
      <c r="C21" s="9">
        <f>2551+854-18.2</f>
        <v>3386.8</v>
      </c>
      <c r="D21" s="9">
        <f>3061+1025-106</f>
        <v>3980</v>
      </c>
      <c r="E21" s="9">
        <f>3061-976</f>
        <v>2085</v>
      </c>
      <c r="F21" s="9">
        <f>3061-8</f>
        <v>3053</v>
      </c>
      <c r="G21" s="9">
        <f>3061+158.6</f>
        <v>3219.6</v>
      </c>
      <c r="H21" s="9">
        <f>3061-110</f>
        <v>2951</v>
      </c>
      <c r="I21" s="9">
        <f>3061+26</f>
        <v>3087</v>
      </c>
      <c r="J21" s="9">
        <f>3061+1025+14</f>
        <v>4100</v>
      </c>
      <c r="K21" s="9">
        <f>3061-82</f>
        <v>2979</v>
      </c>
      <c r="L21" s="9">
        <f>3061+1025-1.8</f>
        <v>4084.2</v>
      </c>
      <c r="M21" s="9">
        <f>3061+1025-257</f>
        <v>3829</v>
      </c>
      <c r="N21" s="3">
        <v>0</v>
      </c>
      <c r="O21" s="9">
        <f>3061-65.4</f>
        <v>2995.6</v>
      </c>
      <c r="P21" s="9">
        <f>3826-14.8</f>
        <v>3811.2</v>
      </c>
      <c r="Q21" s="9">
        <f>2040-1110.2</f>
        <v>929.8</v>
      </c>
      <c r="R21" s="9">
        <f>3061-511</f>
        <v>2550</v>
      </c>
      <c r="S21" s="19">
        <f t="shared" si="0"/>
        <v>52132.39999999999</v>
      </c>
      <c r="T21" s="1"/>
    </row>
    <row r="22" spans="1:20" ht="12.75">
      <c r="A22" s="7" t="s">
        <v>22</v>
      </c>
      <c r="B22" s="14">
        <v>6122</v>
      </c>
      <c r="C22" s="9">
        <f>2551+395</f>
        <v>2946</v>
      </c>
      <c r="D22" s="9">
        <v>3061</v>
      </c>
      <c r="E22" s="9">
        <v>3061</v>
      </c>
      <c r="F22" s="9">
        <f>3061+474</f>
        <v>3535</v>
      </c>
      <c r="G22" s="9">
        <f>3061-158.6+474</f>
        <v>3376.4</v>
      </c>
      <c r="H22" s="9">
        <v>3061</v>
      </c>
      <c r="I22" s="9">
        <f>3061-26+474</f>
        <v>3509</v>
      </c>
      <c r="J22" s="9">
        <f>3061-14+474</f>
        <v>3521</v>
      </c>
      <c r="K22" s="9">
        <v>3061</v>
      </c>
      <c r="L22" s="9">
        <f>3061+474</f>
        <v>3535</v>
      </c>
      <c r="M22" s="9">
        <v>3061</v>
      </c>
      <c r="N22" s="3">
        <v>0</v>
      </c>
      <c r="O22" s="9">
        <v>3061</v>
      </c>
      <c r="P22" s="9">
        <f>3826+593</f>
        <v>4419</v>
      </c>
      <c r="Q22" s="9">
        <v>2040</v>
      </c>
      <c r="R22" s="9">
        <v>3061</v>
      </c>
      <c r="S22" s="19">
        <f t="shared" si="0"/>
        <v>52390.4</v>
      </c>
      <c r="T22" s="1"/>
    </row>
    <row r="23" spans="1:20" ht="12.75">
      <c r="A23" s="5">
        <v>43800</v>
      </c>
      <c r="B23" s="9">
        <v>3064</v>
      </c>
      <c r="C23" s="9">
        <v>1270</v>
      </c>
      <c r="D23" s="9">
        <v>1532</v>
      </c>
      <c r="E23" s="9">
        <v>1532</v>
      </c>
      <c r="F23" s="9">
        <v>1532</v>
      </c>
      <c r="G23" s="9">
        <v>1532</v>
      </c>
      <c r="H23" s="9">
        <v>1532</v>
      </c>
      <c r="I23" s="9">
        <v>1532</v>
      </c>
      <c r="J23" s="9">
        <v>1532</v>
      </c>
      <c r="K23" s="9">
        <v>1532</v>
      </c>
      <c r="L23" s="9">
        <v>1532</v>
      </c>
      <c r="M23" s="9">
        <v>1532</v>
      </c>
      <c r="N23" s="3">
        <v>0</v>
      </c>
      <c r="O23" s="9">
        <v>1532</v>
      </c>
      <c r="P23" s="9">
        <v>1912</v>
      </c>
      <c r="Q23" s="9">
        <v>1020.2</v>
      </c>
      <c r="R23" s="9">
        <v>1532</v>
      </c>
      <c r="S23" s="19">
        <f t="shared" si="0"/>
        <v>24630</v>
      </c>
      <c r="T23" s="1"/>
    </row>
    <row r="24" spans="1:20" ht="25.5">
      <c r="A24" s="11" t="s">
        <v>23</v>
      </c>
      <c r="B24" s="15">
        <f>SUM(B21:B23)</f>
        <v>15207</v>
      </c>
      <c r="C24" s="15">
        <f aca="true" t="shared" si="4" ref="C24:R24">SUM(C21:C23)</f>
        <v>7602.8</v>
      </c>
      <c r="D24" s="15">
        <f t="shared" si="4"/>
        <v>8573</v>
      </c>
      <c r="E24" s="15">
        <f t="shared" si="4"/>
        <v>6678</v>
      </c>
      <c r="F24" s="15">
        <f t="shared" si="4"/>
        <v>8120</v>
      </c>
      <c r="G24" s="15">
        <f t="shared" si="4"/>
        <v>8128</v>
      </c>
      <c r="H24" s="15">
        <f t="shared" si="4"/>
        <v>7544</v>
      </c>
      <c r="I24" s="15">
        <f t="shared" si="4"/>
        <v>8128</v>
      </c>
      <c r="J24" s="15">
        <f t="shared" si="4"/>
        <v>9153</v>
      </c>
      <c r="K24" s="15">
        <f t="shared" si="4"/>
        <v>7572</v>
      </c>
      <c r="L24" s="15">
        <f t="shared" si="4"/>
        <v>9151.2</v>
      </c>
      <c r="M24" s="15">
        <f t="shared" si="4"/>
        <v>8422</v>
      </c>
      <c r="N24" s="15">
        <f t="shared" si="4"/>
        <v>0</v>
      </c>
      <c r="O24" s="15">
        <f t="shared" si="4"/>
        <v>7588.6</v>
      </c>
      <c r="P24" s="15">
        <f t="shared" si="4"/>
        <v>10142.2</v>
      </c>
      <c r="Q24" s="15">
        <f t="shared" si="4"/>
        <v>3990</v>
      </c>
      <c r="R24" s="15">
        <f t="shared" si="4"/>
        <v>7143</v>
      </c>
      <c r="S24" s="19">
        <f>B24+C24+D24+E24+F24+G24+H24+I24+J24+K24+L24+M24+N24+O24+P24+Q24+R24</f>
        <v>133142.8</v>
      </c>
      <c r="T24" s="17"/>
    </row>
    <row r="25" spans="1:20" ht="28.5" customHeight="1">
      <c r="A25" s="10" t="s">
        <v>24</v>
      </c>
      <c r="B25" s="15">
        <f aca="true" t="shared" si="5" ref="B25:R25">B12+B16+B20+B24</f>
        <v>69802</v>
      </c>
      <c r="C25" s="15">
        <f t="shared" si="5"/>
        <v>29457.199999999997</v>
      </c>
      <c r="D25" s="15">
        <f t="shared" si="5"/>
        <v>37557</v>
      </c>
      <c r="E25" s="15">
        <f t="shared" si="5"/>
        <v>34909</v>
      </c>
      <c r="F25" s="15">
        <f t="shared" si="5"/>
        <v>37043.6</v>
      </c>
      <c r="G25" s="15">
        <f t="shared" si="5"/>
        <v>33253</v>
      </c>
      <c r="H25" s="15">
        <f t="shared" si="5"/>
        <v>36425</v>
      </c>
      <c r="I25" s="15">
        <f t="shared" si="5"/>
        <v>35517</v>
      </c>
      <c r="J25" s="15">
        <f t="shared" si="5"/>
        <v>36449</v>
      </c>
      <c r="K25" s="15">
        <f t="shared" si="5"/>
        <v>33819.2</v>
      </c>
      <c r="L25" s="15">
        <f t="shared" si="5"/>
        <v>38150.4</v>
      </c>
      <c r="M25" s="15">
        <f t="shared" si="5"/>
        <v>37414</v>
      </c>
      <c r="N25" s="15">
        <f t="shared" si="5"/>
        <v>19676</v>
      </c>
      <c r="O25" s="15">
        <f t="shared" si="5"/>
        <v>34960.2</v>
      </c>
      <c r="P25" s="15">
        <f t="shared" si="5"/>
        <v>42716.8</v>
      </c>
      <c r="Q25" s="15">
        <f t="shared" si="5"/>
        <v>8329.8</v>
      </c>
      <c r="R25" s="15">
        <f t="shared" si="5"/>
        <v>11505</v>
      </c>
      <c r="S25" s="19">
        <f>S12+S16+S20+S24</f>
        <v>576984.2</v>
      </c>
      <c r="T25" s="1"/>
    </row>
    <row r="26" spans="1:2" ht="12.75">
      <c r="A26" s="4"/>
      <c r="B26" s="8"/>
    </row>
    <row r="27" spans="1:2" ht="12.75">
      <c r="A27" s="4"/>
      <c r="B27" s="8"/>
    </row>
    <row r="28" spans="1:2" ht="12.75">
      <c r="A28" s="4"/>
      <c r="B28" s="8"/>
    </row>
    <row r="29" spans="1:2" ht="12.75">
      <c r="A29" s="4"/>
      <c r="B29" s="8"/>
    </row>
    <row r="30" spans="1:2" ht="12.75">
      <c r="A30" s="4"/>
      <c r="B30" s="8"/>
    </row>
    <row r="31" spans="1:2" ht="12.75">
      <c r="A31" s="4"/>
      <c r="B31" s="8"/>
    </row>
    <row r="32" spans="1:2" ht="12.75">
      <c r="A32" s="4"/>
      <c r="B32" s="8"/>
    </row>
    <row r="33" spans="1:2" ht="12.75">
      <c r="A33" s="4"/>
      <c r="B33" s="8"/>
    </row>
    <row r="34" spans="1:2" ht="12.75">
      <c r="A34" s="4"/>
      <c r="B34" s="8"/>
    </row>
    <row r="35" spans="1:2" ht="12.75">
      <c r="A35" s="4"/>
      <c r="B35" s="8"/>
    </row>
  </sheetData>
  <sheetProtection/>
  <mergeCells count="2">
    <mergeCell ref="A6:A7"/>
    <mergeCell ref="B6:R6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DECLARATII</dc:creator>
  <cp:keywords/>
  <dc:description/>
  <cp:lastModifiedBy>Cata</cp:lastModifiedBy>
  <cp:lastPrinted>2019-11-29T11:27:42Z</cp:lastPrinted>
  <dcterms:created xsi:type="dcterms:W3CDTF">2007-02-14T09:57:22Z</dcterms:created>
  <dcterms:modified xsi:type="dcterms:W3CDTF">2019-11-29T11:27:43Z</dcterms:modified>
  <cp:category/>
  <cp:version/>
  <cp:contentType/>
  <cp:contentStatus/>
</cp:coreProperties>
</file>